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0" firstSheet="1" activeTab="1"/>
  </bookViews>
  <sheets>
    <sheet name="Data" sheetId="1" state="hidden" r:id="rId1"/>
    <sheet name="InputOutput" sheetId="2" r:id="rId2"/>
  </sheets>
  <definedNames>
    <definedName name="AmpacityColumn">'InputOutput'!$B$21</definedName>
    <definedName name="CM">'Data'!$D$38</definedName>
    <definedName name="CMUsed">'Data'!$D$3:$D$35</definedName>
    <definedName name="Current">'InputOutput'!$B$5</definedName>
    <definedName name="EngineSpace">'InputOutput'!$B$6</definedName>
    <definedName name="Fuse">'InputOutput'!$B$12</definedName>
    <definedName name="GaugeIndex">'Data'!$I$5:$I$20</definedName>
    <definedName name="Index">'Data'!$D$42</definedName>
    <definedName name="InFuse">'Data'!$O$23</definedName>
    <definedName name="InitialLookupCM">'Data'!$D$39</definedName>
    <definedName name="InMatch">'Data'!$I$23</definedName>
    <definedName name="InWire">'Data'!$I$26:$P$41</definedName>
    <definedName name="InWire105">'Data'!$N$25:$N$41</definedName>
    <definedName name="InWire125">'Data'!$O$25:$O$41</definedName>
    <definedName name="InWire200">'Data'!$P$25:$P$41</definedName>
    <definedName name="InWire60">'Data'!$J$25:$J$41</definedName>
    <definedName name="InWire75">'Data'!$K$25:$K$41</definedName>
    <definedName name="InWire80">'Data'!$L$25:$L$41</definedName>
    <definedName name="InWire90">'Data'!$M$25:$M$41</definedName>
    <definedName name="InWireResult">'Data'!$L$23</definedName>
    <definedName name="ISAmpacity">'Data'!$H$25:$P$41</definedName>
    <definedName name="Length">'InputOutput'!$B$4</definedName>
    <definedName name="Lookup">'Data'!$D$2:$F$35</definedName>
    <definedName name="OSAmpacity">'Data'!$H$4:$P$20</definedName>
    <definedName name="OutFuse">'Data'!$O$2</definedName>
    <definedName name="OutMatch">'Data'!$I$2</definedName>
    <definedName name="OutWire">'Data'!$I$5:$P$20</definedName>
    <definedName name="OutWire105">'Data'!$N$4:$N$20</definedName>
    <definedName name="OutWire125">'Data'!$O$4:$O$20</definedName>
    <definedName name="OutWire200">'Data'!$P$4:$P$20</definedName>
    <definedName name="OutWire60">'Data'!$J$4:$J$20</definedName>
    <definedName name="OutWire75">'Data'!$K$4:$K$20</definedName>
    <definedName name="OutWire80">'Data'!$L$4:$L$20</definedName>
    <definedName name="OutWire90">'Data'!$M$4:$M$20</definedName>
    <definedName name="OutWireResult">'Data'!$L$2</definedName>
    <definedName name="SafeAmpsIndex">'InputOutput'!#REF!</definedName>
    <definedName name="SALookup">'Data'!$E$2:$F$35</definedName>
    <definedName name="Space">'InputOutput'!#REF!</definedName>
    <definedName name="TempRating">'InputOutput'!$B$7</definedName>
    <definedName name="TempScale">'Data'!$J$4:$P$4</definedName>
    <definedName name="VDrop">'InputOutput'!$B$9</definedName>
    <definedName name="VDropIndex">'Data'!$D$40</definedName>
    <definedName name="VDropPercent">'InputOutput'!$B$3</definedName>
    <definedName name="Volts">'InputOutput'!$B$2</definedName>
  </definedNames>
  <calcPr fullCalcOnLoad="1"/>
</workbook>
</file>

<file path=xl/sharedStrings.xml><?xml version="1.0" encoding="utf-8"?>
<sst xmlns="http://schemas.openxmlformats.org/spreadsheetml/2006/main" count="91" uniqueCount="68">
  <si>
    <t>in your boat (unless it meets certain exemptions). ABYC ampacity tables top out at 4/0 AWG</t>
  </si>
  <si>
    <t xml:space="preserve"> so anything "bigger" will be off the chart.</t>
  </si>
  <si>
    <t>Temp Rating of Insulation</t>
  </si>
  <si>
    <t>Menu Temp Choices</t>
  </si>
  <si>
    <t>Menu Y/N</t>
  </si>
  <si>
    <t>N</t>
  </si>
  <si>
    <t>AWG Size</t>
  </si>
  <si>
    <t>System Voltage</t>
  </si>
  <si>
    <t>Allowable V-Drop</t>
  </si>
  <si>
    <t>Volts</t>
  </si>
  <si>
    <t>Percent</t>
  </si>
  <si>
    <t>feet</t>
  </si>
  <si>
    <t>Total Length of Circuit</t>
  </si>
  <si>
    <t>CM</t>
  </si>
  <si>
    <t>Amperes</t>
  </si>
  <si>
    <t>Index</t>
  </si>
  <si>
    <t>Lookup CM</t>
  </si>
  <si>
    <t>AWG to be used</t>
  </si>
  <si>
    <t>1/0</t>
  </si>
  <si>
    <t>2/0</t>
  </si>
  <si>
    <t>3/0</t>
  </si>
  <si>
    <t>4/0</t>
  </si>
  <si>
    <t>5/0</t>
  </si>
  <si>
    <t>6/0</t>
  </si>
  <si>
    <t>Conductor Cross-Sectional Area (mm^2)</t>
  </si>
  <si>
    <t>Calculated UL CM</t>
  </si>
  <si>
    <t>UL CM</t>
  </si>
  <si>
    <t>CM used</t>
  </si>
  <si>
    <t>OFF CHART</t>
  </si>
  <si>
    <t>c mils</t>
  </si>
  <si>
    <t>AWG</t>
  </si>
  <si>
    <t>The wire sizes suggested here are based on tables published by the ABYC and Nigel Calder.</t>
  </si>
  <si>
    <t>ampere load and voltage drop entered above. However, I cannot make guarantees and the</t>
  </si>
  <si>
    <t>ultimate responsibilty lies with you, the user, to ensure that wire sizing and installation</t>
  </si>
  <si>
    <t>meets all applicable wiring standards. (USCG, ABYC, etc.)</t>
  </si>
  <si>
    <t>Voltage Drop Lookup Values</t>
  </si>
  <si>
    <t>Vdrop Index Number</t>
  </si>
  <si>
    <t>SafeAmps Index Number</t>
  </si>
  <si>
    <t>Index Number Used</t>
  </si>
  <si>
    <t>Results are only valid for DC circuits below 50 Volts.</t>
  </si>
  <si>
    <t>Avg Current</t>
  </si>
  <si>
    <t>Outside</t>
  </si>
  <si>
    <t>Inside</t>
  </si>
  <si>
    <t>Conductor in Engine Space</t>
  </si>
  <si>
    <t>(Y/N)</t>
  </si>
  <si>
    <t>deg C</t>
  </si>
  <si>
    <t>Temp/Index</t>
  </si>
  <si>
    <t>Gauge</t>
  </si>
  <si>
    <t>OFF Chart</t>
  </si>
  <si>
    <t>The minimum wire size here is 18 GA because that is the smallest gauge that ABYC has</t>
  </si>
  <si>
    <t>ampacity tables for. It is also the smallest size wire that you can install to carry current</t>
  </si>
  <si>
    <t>To the best of my knowledge, this simple spreadsheet will look up the proper size wire for a</t>
  </si>
  <si>
    <t>Match</t>
  </si>
  <si>
    <t>Index #</t>
  </si>
  <si>
    <t>Ampacity</t>
  </si>
  <si>
    <t>Row</t>
  </si>
  <si>
    <t>Fuse</t>
  </si>
  <si>
    <t>Amps</t>
  </si>
  <si>
    <t>Absolute Max. Fuse Rating</t>
  </si>
  <si>
    <t>If a certain wire size is not widely available, go with a larger sized wire.</t>
  </si>
  <si>
    <t>For example, if model calls for 5 AWG but 5AWG is not available, select 4 AWG instead.</t>
  </si>
  <si>
    <t>=</t>
  </si>
  <si>
    <t>Equipment usually requires much smaller fuses than the current the wire can carry to it. For example, a low voltage drop requirement will result in relatively large wires</t>
  </si>
  <si>
    <t>Max</t>
  </si>
  <si>
    <t>Y</t>
  </si>
  <si>
    <t>Wire Ampacity</t>
  </si>
  <si>
    <t>Fuse Ratings reflect the safe number of amps your wires can carry. Your fuse rating should be below the ampacity of the wire in question.</t>
  </si>
  <si>
    <t>that have much more capacity than is used. If no fuse is available, ABYC allows you to select one with a rating of up 150% of ampacity.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</si>
</sst>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/>
    </xf>
    <xf numFmtId="3" fontId="0" fillId="2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4" xfId="0" applyFill="1" applyBorder="1" applyAlignment="1" quotePrefix="1">
      <alignment horizont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:D1"/>
    </sheetView>
  </sheetViews>
  <sheetFormatPr defaultColWidth="11.421875" defaultRowHeight="12.75"/>
  <cols>
    <col min="1" max="16384" width="8.8515625" style="0" customWidth="1"/>
  </cols>
  <sheetData>
    <row r="1" spans="1:15" ht="12">
      <c r="A1" s="26" t="s">
        <v>35</v>
      </c>
      <c r="B1" s="26"/>
      <c r="C1" s="26"/>
      <c r="D1" s="26"/>
      <c r="H1" s="7" t="s">
        <v>55</v>
      </c>
      <c r="I1" s="7"/>
      <c r="K1" s="7" t="s">
        <v>54</v>
      </c>
      <c r="L1" s="7"/>
      <c r="N1" s="7" t="s">
        <v>63</v>
      </c>
      <c r="O1" s="7"/>
    </row>
    <row r="2" spans="1:15" ht="12.75" thickBot="1">
      <c r="A2" s="1" t="s">
        <v>24</v>
      </c>
      <c r="B2" s="1" t="s">
        <v>25</v>
      </c>
      <c r="C2" s="1" t="s">
        <v>26</v>
      </c>
      <c r="D2" s="1" t="s">
        <v>27</v>
      </c>
      <c r="E2" s="1" t="s">
        <v>15</v>
      </c>
      <c r="F2" s="1" t="s">
        <v>6</v>
      </c>
      <c r="H2" s="22" t="s">
        <v>52</v>
      </c>
      <c r="I2" s="22">
        <f>MATCH(Current,CHOOSE(MATCH(TempRating,TempScale,0),OutWire60,OutWire75,OutWire80,OutWire90,OutWire105,OutWire125,OutWire200),1)</f>
        <v>3</v>
      </c>
      <c r="K2" s="22" t="s">
        <v>53</v>
      </c>
      <c r="L2" s="22">
        <f>INDEX(OutWire,OutMatch,1)</f>
        <v>11</v>
      </c>
      <c r="N2" s="7" t="s">
        <v>56</v>
      </c>
      <c r="O2" s="7">
        <f>INDEX(CHOOSE(MATCH(TempRating,TempScale,0),OutWire60,OutWire75,OutWire80,OutWire90,OutWire105,OutWire125,OutWire200),MATCH(Index,GaugeIndex,1)+1,1)</f>
        <v>80</v>
      </c>
    </row>
    <row r="3" spans="1:16" ht="12">
      <c r="A3" s="1"/>
      <c r="B3" s="3"/>
      <c r="C3" s="1"/>
      <c r="D3" s="3">
        <v>0</v>
      </c>
      <c r="E3" s="3">
        <v>1</v>
      </c>
      <c r="F3" s="1" t="s">
        <v>28</v>
      </c>
      <c r="H3" s="8"/>
      <c r="I3" s="9"/>
      <c r="J3" s="27" t="s">
        <v>41</v>
      </c>
      <c r="K3" s="27"/>
      <c r="L3" s="27"/>
      <c r="M3" s="27"/>
      <c r="N3" s="27"/>
      <c r="O3" s="27"/>
      <c r="P3" s="28"/>
    </row>
    <row r="4" spans="1:16" ht="12.75" thickBot="1">
      <c r="A4" s="1">
        <v>0.163</v>
      </c>
      <c r="B4" s="3">
        <f aca="true" t="shared" si="0" ref="B4:B34">A4/0.0005067</f>
        <v>321.689362541938</v>
      </c>
      <c r="C4" s="1"/>
      <c r="D4" s="3">
        <f aca="true" t="shared" si="1" ref="D4:D34">IF(C4="",B4,C4)</f>
        <v>321.689362541938</v>
      </c>
      <c r="E4" s="3">
        <v>2</v>
      </c>
      <c r="F4" s="1">
        <v>25</v>
      </c>
      <c r="H4" s="15" t="s">
        <v>47</v>
      </c>
      <c r="I4" s="14" t="s">
        <v>46</v>
      </c>
      <c r="J4" s="20">
        <v>60</v>
      </c>
      <c r="K4" s="20">
        <v>75</v>
      </c>
      <c r="L4" s="20">
        <v>80</v>
      </c>
      <c r="M4" s="20">
        <v>90</v>
      </c>
      <c r="N4" s="20">
        <v>105</v>
      </c>
      <c r="O4" s="20">
        <v>125</v>
      </c>
      <c r="P4" s="21">
        <v>200</v>
      </c>
    </row>
    <row r="5" spans="1:16" ht="12">
      <c r="A5" s="1">
        <v>0.205</v>
      </c>
      <c r="B5" s="3">
        <f t="shared" si="0"/>
        <v>404.5786461417012</v>
      </c>
      <c r="C5" s="1"/>
      <c r="D5" s="3">
        <f t="shared" si="1"/>
        <v>404.5786461417012</v>
      </c>
      <c r="E5" s="3">
        <v>3</v>
      </c>
      <c r="F5" s="1">
        <v>24</v>
      </c>
      <c r="H5" s="12">
        <v>18</v>
      </c>
      <c r="I5" s="17">
        <v>1</v>
      </c>
      <c r="J5" s="16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1">
        <v>0</v>
      </c>
    </row>
    <row r="6" spans="1:16" ht="12">
      <c r="A6" s="1">
        <v>0.259</v>
      </c>
      <c r="B6" s="3">
        <f t="shared" si="0"/>
        <v>511.15058219853955</v>
      </c>
      <c r="C6" s="1"/>
      <c r="D6" s="3">
        <f t="shared" si="1"/>
        <v>511.15058219853955</v>
      </c>
      <c r="E6" s="3">
        <v>4</v>
      </c>
      <c r="F6" s="1">
        <v>23</v>
      </c>
      <c r="H6" s="12">
        <v>18</v>
      </c>
      <c r="I6" s="17">
        <v>9</v>
      </c>
      <c r="J6" s="12">
        <v>10</v>
      </c>
      <c r="K6" s="17">
        <v>10</v>
      </c>
      <c r="L6" s="17">
        <v>15</v>
      </c>
      <c r="M6" s="17">
        <v>20</v>
      </c>
      <c r="N6" s="17">
        <v>20</v>
      </c>
      <c r="O6" s="17">
        <v>25</v>
      </c>
      <c r="P6" s="18">
        <v>25</v>
      </c>
    </row>
    <row r="7" spans="1:16" ht="12">
      <c r="A7" s="1">
        <v>0.325</v>
      </c>
      <c r="B7" s="3">
        <f t="shared" si="0"/>
        <v>641.4051707124531</v>
      </c>
      <c r="C7" s="1"/>
      <c r="D7" s="3">
        <f t="shared" si="1"/>
        <v>641.4051707124531</v>
      </c>
      <c r="E7" s="3">
        <v>5</v>
      </c>
      <c r="F7" s="1">
        <v>22</v>
      </c>
      <c r="H7" s="12">
        <v>16</v>
      </c>
      <c r="I7" s="17">
        <v>11</v>
      </c>
      <c r="J7" s="12">
        <v>15</v>
      </c>
      <c r="K7" s="17">
        <v>15</v>
      </c>
      <c r="L7" s="17">
        <v>20</v>
      </c>
      <c r="M7" s="17">
        <v>25</v>
      </c>
      <c r="N7" s="17">
        <v>25</v>
      </c>
      <c r="O7" s="17">
        <v>30</v>
      </c>
      <c r="P7" s="18">
        <v>35</v>
      </c>
    </row>
    <row r="8" spans="1:16" ht="12">
      <c r="A8" s="1">
        <v>0.412</v>
      </c>
      <c r="B8" s="3">
        <f t="shared" si="0"/>
        <v>813.1044010262482</v>
      </c>
      <c r="C8" s="1"/>
      <c r="D8" s="3">
        <f t="shared" si="1"/>
        <v>813.1044010262482</v>
      </c>
      <c r="E8" s="3">
        <v>6</v>
      </c>
      <c r="F8" s="1">
        <v>21</v>
      </c>
      <c r="H8" s="12">
        <v>14</v>
      </c>
      <c r="I8" s="17">
        <v>13</v>
      </c>
      <c r="J8" s="12">
        <v>20</v>
      </c>
      <c r="K8" s="17">
        <v>20</v>
      </c>
      <c r="L8" s="17">
        <v>25</v>
      </c>
      <c r="M8" s="17">
        <v>30</v>
      </c>
      <c r="N8" s="17">
        <v>35</v>
      </c>
      <c r="O8" s="17">
        <v>40</v>
      </c>
      <c r="P8" s="18">
        <v>45</v>
      </c>
    </row>
    <row r="9" spans="1:16" ht="12">
      <c r="A9" s="1">
        <v>0.519</v>
      </c>
      <c r="B9" s="3">
        <f t="shared" si="0"/>
        <v>1024.274718768502</v>
      </c>
      <c r="C9" s="1"/>
      <c r="D9" s="3">
        <f t="shared" si="1"/>
        <v>1024.274718768502</v>
      </c>
      <c r="E9" s="3">
        <v>7</v>
      </c>
      <c r="F9" s="1">
        <v>20</v>
      </c>
      <c r="H9" s="12">
        <v>12</v>
      </c>
      <c r="I9" s="17">
        <v>15</v>
      </c>
      <c r="J9" s="12">
        <v>25</v>
      </c>
      <c r="K9" s="17">
        <v>25</v>
      </c>
      <c r="L9" s="17">
        <v>35</v>
      </c>
      <c r="M9" s="17">
        <v>40</v>
      </c>
      <c r="N9" s="17">
        <v>45</v>
      </c>
      <c r="O9" s="17">
        <v>50</v>
      </c>
      <c r="P9" s="18">
        <v>55</v>
      </c>
    </row>
    <row r="10" spans="1:16" ht="12">
      <c r="A10" s="1">
        <v>0.653</v>
      </c>
      <c r="B10" s="3">
        <f t="shared" si="0"/>
        <v>1288.731004539175</v>
      </c>
      <c r="C10" s="1"/>
      <c r="D10" s="3">
        <f t="shared" si="1"/>
        <v>1288.731004539175</v>
      </c>
      <c r="E10" s="3">
        <v>8</v>
      </c>
      <c r="F10" s="1">
        <v>19</v>
      </c>
      <c r="H10" s="12">
        <v>10</v>
      </c>
      <c r="I10" s="17">
        <v>17</v>
      </c>
      <c r="J10" s="12">
        <v>40</v>
      </c>
      <c r="K10" s="17">
        <v>40</v>
      </c>
      <c r="L10" s="17">
        <v>50</v>
      </c>
      <c r="M10" s="17">
        <v>55</v>
      </c>
      <c r="N10" s="17">
        <v>60</v>
      </c>
      <c r="O10" s="17">
        <v>70</v>
      </c>
      <c r="P10" s="18">
        <v>70</v>
      </c>
    </row>
    <row r="11" spans="1:16" ht="12">
      <c r="A11" s="1">
        <v>0.823</v>
      </c>
      <c r="B11" s="3">
        <f t="shared" si="0"/>
        <v>1624.2352476810736</v>
      </c>
      <c r="C11" s="1">
        <v>1620</v>
      </c>
      <c r="D11" s="3">
        <f t="shared" si="1"/>
        <v>1620</v>
      </c>
      <c r="E11" s="3">
        <v>9</v>
      </c>
      <c r="F11" s="1">
        <v>18</v>
      </c>
      <c r="H11" s="12">
        <v>8</v>
      </c>
      <c r="I11" s="17">
        <v>19</v>
      </c>
      <c r="J11" s="12">
        <v>55</v>
      </c>
      <c r="K11" s="17">
        <v>65</v>
      </c>
      <c r="L11" s="17">
        <v>70</v>
      </c>
      <c r="M11" s="17">
        <v>70</v>
      </c>
      <c r="N11" s="17">
        <v>80</v>
      </c>
      <c r="O11" s="17">
        <v>90</v>
      </c>
      <c r="P11" s="18">
        <v>100</v>
      </c>
    </row>
    <row r="12" spans="1:16" ht="12">
      <c r="A12" s="1">
        <v>1.04</v>
      </c>
      <c r="B12" s="3">
        <f t="shared" si="0"/>
        <v>2052.49654627985</v>
      </c>
      <c r="C12" s="1"/>
      <c r="D12" s="3">
        <f t="shared" si="1"/>
        <v>2052.49654627985</v>
      </c>
      <c r="E12" s="3">
        <v>10</v>
      </c>
      <c r="F12" s="1">
        <v>17</v>
      </c>
      <c r="H12" s="12">
        <v>6</v>
      </c>
      <c r="I12" s="17">
        <v>21</v>
      </c>
      <c r="J12" s="12">
        <v>80</v>
      </c>
      <c r="K12" s="17">
        <v>95</v>
      </c>
      <c r="L12" s="17">
        <v>100</v>
      </c>
      <c r="M12" s="17">
        <v>100</v>
      </c>
      <c r="N12" s="17">
        <v>120</v>
      </c>
      <c r="O12" s="17">
        <v>125</v>
      </c>
      <c r="P12" s="18">
        <v>135</v>
      </c>
    </row>
    <row r="13" spans="1:16" ht="12">
      <c r="A13" s="1">
        <v>1.31</v>
      </c>
      <c r="B13" s="3">
        <f t="shared" si="0"/>
        <v>2585.356226564042</v>
      </c>
      <c r="C13" s="1">
        <v>2580</v>
      </c>
      <c r="D13" s="3">
        <f t="shared" si="1"/>
        <v>2580</v>
      </c>
      <c r="E13" s="3">
        <v>11</v>
      </c>
      <c r="F13" s="1">
        <v>16</v>
      </c>
      <c r="H13" s="12">
        <v>4</v>
      </c>
      <c r="I13" s="17">
        <v>23</v>
      </c>
      <c r="J13" s="12">
        <v>105</v>
      </c>
      <c r="K13" s="17">
        <v>125</v>
      </c>
      <c r="L13" s="17">
        <v>130</v>
      </c>
      <c r="M13" s="17">
        <v>135</v>
      </c>
      <c r="N13" s="17">
        <v>160</v>
      </c>
      <c r="O13" s="17">
        <v>170</v>
      </c>
      <c r="P13" s="18">
        <v>180</v>
      </c>
    </row>
    <row r="14" spans="1:16" ht="12">
      <c r="A14" s="1">
        <v>1.65</v>
      </c>
      <c r="B14" s="3">
        <f t="shared" si="0"/>
        <v>3256.3647128478387</v>
      </c>
      <c r="C14" s="1"/>
      <c r="D14" s="3">
        <f t="shared" si="1"/>
        <v>3256.3647128478387</v>
      </c>
      <c r="E14" s="3">
        <v>12</v>
      </c>
      <c r="F14" s="1">
        <v>15</v>
      </c>
      <c r="H14" s="12">
        <v>2</v>
      </c>
      <c r="I14" s="17">
        <v>25</v>
      </c>
      <c r="J14" s="12">
        <v>140</v>
      </c>
      <c r="K14" s="17">
        <v>170</v>
      </c>
      <c r="L14" s="17">
        <v>175</v>
      </c>
      <c r="M14" s="17">
        <v>180</v>
      </c>
      <c r="N14" s="17">
        <v>210</v>
      </c>
      <c r="O14" s="17">
        <v>225</v>
      </c>
      <c r="P14" s="18">
        <v>240</v>
      </c>
    </row>
    <row r="15" spans="1:16" ht="12">
      <c r="A15" s="1">
        <v>2.08</v>
      </c>
      <c r="B15" s="3">
        <f t="shared" si="0"/>
        <v>4104.9930925597</v>
      </c>
      <c r="C15" s="1">
        <v>4110</v>
      </c>
      <c r="D15" s="3">
        <f t="shared" si="1"/>
        <v>4110</v>
      </c>
      <c r="E15" s="3">
        <v>13</v>
      </c>
      <c r="F15" s="1">
        <v>14</v>
      </c>
      <c r="H15" s="12">
        <v>1</v>
      </c>
      <c r="I15" s="17">
        <v>26</v>
      </c>
      <c r="J15" s="12">
        <v>165</v>
      </c>
      <c r="K15" s="17">
        <v>195</v>
      </c>
      <c r="L15" s="17">
        <v>210</v>
      </c>
      <c r="M15" s="17">
        <v>210</v>
      </c>
      <c r="N15" s="17">
        <v>245</v>
      </c>
      <c r="O15" s="17">
        <v>265</v>
      </c>
      <c r="P15" s="18">
        <v>280</v>
      </c>
    </row>
    <row r="16" spans="1:16" ht="12">
      <c r="A16" s="1">
        <v>2.63</v>
      </c>
      <c r="B16" s="3">
        <f t="shared" si="0"/>
        <v>5190.447996842313</v>
      </c>
      <c r="C16" s="1"/>
      <c r="D16" s="3">
        <f t="shared" si="1"/>
        <v>5190.447996842313</v>
      </c>
      <c r="E16" s="3">
        <v>14</v>
      </c>
      <c r="F16" s="1">
        <v>13</v>
      </c>
      <c r="H16" s="13" t="s">
        <v>18</v>
      </c>
      <c r="I16" s="17">
        <v>27</v>
      </c>
      <c r="J16" s="12">
        <v>195</v>
      </c>
      <c r="K16" s="17">
        <v>230</v>
      </c>
      <c r="L16" s="17">
        <v>245</v>
      </c>
      <c r="M16" s="17">
        <v>245</v>
      </c>
      <c r="N16" s="17">
        <v>285</v>
      </c>
      <c r="O16" s="17">
        <v>305</v>
      </c>
      <c r="P16" s="18">
        <v>325</v>
      </c>
    </row>
    <row r="17" spans="1:16" ht="12">
      <c r="A17" s="1">
        <v>3.31</v>
      </c>
      <c r="B17" s="3">
        <f t="shared" si="0"/>
        <v>6532.464969409907</v>
      </c>
      <c r="C17" s="1">
        <v>6530</v>
      </c>
      <c r="D17" s="3">
        <f t="shared" si="1"/>
        <v>6530</v>
      </c>
      <c r="E17" s="3">
        <v>15</v>
      </c>
      <c r="F17" s="1">
        <v>12</v>
      </c>
      <c r="H17" s="13" t="s">
        <v>19</v>
      </c>
      <c r="I17" s="17">
        <v>28</v>
      </c>
      <c r="J17" s="12">
        <v>225</v>
      </c>
      <c r="K17" s="17">
        <v>265</v>
      </c>
      <c r="L17" s="17">
        <v>285</v>
      </c>
      <c r="M17" s="17">
        <v>285</v>
      </c>
      <c r="N17" s="17">
        <v>330</v>
      </c>
      <c r="O17" s="17">
        <v>355</v>
      </c>
      <c r="P17" s="18">
        <v>370</v>
      </c>
    </row>
    <row r="18" spans="1:16" ht="12">
      <c r="A18" s="1">
        <v>4.15</v>
      </c>
      <c r="B18" s="3">
        <f t="shared" si="0"/>
        <v>8190.250641405171</v>
      </c>
      <c r="C18" s="1"/>
      <c r="D18" s="3">
        <f t="shared" si="1"/>
        <v>8190.250641405171</v>
      </c>
      <c r="E18" s="3">
        <v>16</v>
      </c>
      <c r="F18" s="1">
        <v>11</v>
      </c>
      <c r="H18" s="13" t="s">
        <v>20</v>
      </c>
      <c r="I18" s="17">
        <v>29</v>
      </c>
      <c r="J18" s="12">
        <v>260</v>
      </c>
      <c r="K18" s="17">
        <v>310</v>
      </c>
      <c r="L18" s="17">
        <v>330</v>
      </c>
      <c r="M18" s="17">
        <v>330</v>
      </c>
      <c r="N18" s="17">
        <v>385</v>
      </c>
      <c r="O18" s="17">
        <v>410</v>
      </c>
      <c r="P18" s="18">
        <v>430</v>
      </c>
    </row>
    <row r="19" spans="1:16" ht="12">
      <c r="A19" s="1">
        <v>5.27</v>
      </c>
      <c r="B19" s="3">
        <f t="shared" si="0"/>
        <v>10400.631537398855</v>
      </c>
      <c r="C19" s="1">
        <v>10380</v>
      </c>
      <c r="D19" s="3">
        <f t="shared" si="1"/>
        <v>10380</v>
      </c>
      <c r="E19" s="3">
        <v>17</v>
      </c>
      <c r="F19" s="1">
        <v>10</v>
      </c>
      <c r="H19" s="13" t="s">
        <v>21</v>
      </c>
      <c r="I19" s="17">
        <v>30</v>
      </c>
      <c r="J19" s="12">
        <v>300</v>
      </c>
      <c r="K19" s="17">
        <v>380</v>
      </c>
      <c r="L19" s="17">
        <v>385</v>
      </c>
      <c r="M19" s="17">
        <v>385</v>
      </c>
      <c r="N19" s="17">
        <v>445</v>
      </c>
      <c r="O19" s="17">
        <v>475</v>
      </c>
      <c r="P19" s="18">
        <v>510</v>
      </c>
    </row>
    <row r="20" spans="1:16" ht="12.75" thickBot="1">
      <c r="A20" s="1">
        <v>6.62</v>
      </c>
      <c r="B20" s="3">
        <f t="shared" si="0"/>
        <v>13064.929938819814</v>
      </c>
      <c r="C20" s="1"/>
      <c r="D20" s="3">
        <f t="shared" si="1"/>
        <v>13064.929938819814</v>
      </c>
      <c r="E20" s="3">
        <v>18</v>
      </c>
      <c r="F20" s="1">
        <v>9</v>
      </c>
      <c r="H20" s="19" t="s">
        <v>48</v>
      </c>
      <c r="I20" s="20">
        <v>33</v>
      </c>
      <c r="J20" s="19">
        <v>999999</v>
      </c>
      <c r="K20" s="20">
        <v>999999</v>
      </c>
      <c r="L20" s="20">
        <v>999999</v>
      </c>
      <c r="M20" s="20">
        <v>999999</v>
      </c>
      <c r="N20" s="20">
        <v>999999</v>
      </c>
      <c r="O20" s="20">
        <v>999999</v>
      </c>
      <c r="P20" s="21">
        <v>999999</v>
      </c>
    </row>
    <row r="21" spans="1:6" ht="12">
      <c r="A21" s="1">
        <v>8.35</v>
      </c>
      <c r="B21" s="3">
        <f t="shared" si="0"/>
        <v>16479.179001381486</v>
      </c>
      <c r="C21" s="1">
        <v>16510</v>
      </c>
      <c r="D21" s="3">
        <f t="shared" si="1"/>
        <v>16510</v>
      </c>
      <c r="E21" s="3">
        <v>19</v>
      </c>
      <c r="F21" s="1">
        <v>8</v>
      </c>
    </row>
    <row r="22" spans="1:15" ht="12">
      <c r="A22" s="1">
        <v>10.6</v>
      </c>
      <c r="B22" s="3">
        <f t="shared" si="0"/>
        <v>20919.676337083085</v>
      </c>
      <c r="C22" s="1"/>
      <c r="D22" s="3">
        <f t="shared" si="1"/>
        <v>20919.676337083085</v>
      </c>
      <c r="E22" s="3">
        <v>20</v>
      </c>
      <c r="F22" s="1">
        <v>7</v>
      </c>
      <c r="H22" s="7" t="s">
        <v>55</v>
      </c>
      <c r="I22" s="7"/>
      <c r="K22" s="7" t="s">
        <v>54</v>
      </c>
      <c r="L22" s="7"/>
      <c r="N22" s="7" t="s">
        <v>63</v>
      </c>
      <c r="O22" s="7"/>
    </row>
    <row r="23" spans="1:15" ht="12.75" thickBot="1">
      <c r="A23" s="1">
        <v>13.3</v>
      </c>
      <c r="B23" s="3">
        <f t="shared" si="0"/>
        <v>26248.273139925004</v>
      </c>
      <c r="C23" s="1">
        <v>26240</v>
      </c>
      <c r="D23" s="3">
        <f t="shared" si="1"/>
        <v>26240</v>
      </c>
      <c r="E23" s="3">
        <v>21</v>
      </c>
      <c r="F23" s="1">
        <v>6</v>
      </c>
      <c r="H23" s="7" t="s">
        <v>52</v>
      </c>
      <c r="I23" s="7">
        <f>MATCH(Current,CHOOSE(MATCH(TempRating,TempScale,0),InWire60,InWire75,InWire80,InWire90,InWire105,InWire125,InWire200),1)</f>
        <v>3</v>
      </c>
      <c r="K23" s="7" t="s">
        <v>53</v>
      </c>
      <c r="L23" s="7">
        <f>INDEX(InWire,InMatch,1)</f>
        <v>11</v>
      </c>
      <c r="N23" s="7" t="s">
        <v>56</v>
      </c>
      <c r="O23" s="7">
        <f>INDEX(CHOOSE(MATCH(TempRating,TempScale,0),InWire60,InWire75,InWire80,InWire90,InWire105,InWire125,InWire200),MATCH(Index,GaugeIndex,1)+1,1)</f>
        <v>68</v>
      </c>
    </row>
    <row r="24" spans="1:16" ht="12">
      <c r="A24" s="1">
        <v>16.8</v>
      </c>
      <c r="B24" s="3">
        <f t="shared" si="0"/>
        <v>33155.71343990527</v>
      </c>
      <c r="C24" s="1"/>
      <c r="D24" s="3">
        <f t="shared" si="1"/>
        <v>33155.71343990527</v>
      </c>
      <c r="E24" s="3">
        <v>22</v>
      </c>
      <c r="F24" s="1">
        <v>5</v>
      </c>
      <c r="H24" s="16"/>
      <c r="I24" s="10"/>
      <c r="J24" s="27" t="s">
        <v>42</v>
      </c>
      <c r="K24" s="27"/>
      <c r="L24" s="27"/>
      <c r="M24" s="27"/>
      <c r="N24" s="27"/>
      <c r="O24" s="27"/>
      <c r="P24" s="28"/>
    </row>
    <row r="25" spans="1:16" ht="12.75" thickBot="1">
      <c r="A25" s="1">
        <v>21.2</v>
      </c>
      <c r="B25" s="3">
        <f t="shared" si="0"/>
        <v>41839.35267416617</v>
      </c>
      <c r="C25" s="1">
        <v>41740</v>
      </c>
      <c r="D25" s="3">
        <f t="shared" si="1"/>
        <v>41740</v>
      </c>
      <c r="E25" s="3">
        <v>23</v>
      </c>
      <c r="F25" s="1">
        <v>4</v>
      </c>
      <c r="H25" s="19" t="s">
        <v>47</v>
      </c>
      <c r="I25" s="20" t="s">
        <v>46</v>
      </c>
      <c r="J25" s="20">
        <v>60</v>
      </c>
      <c r="K25" s="20">
        <v>75</v>
      </c>
      <c r="L25" s="20">
        <v>80</v>
      </c>
      <c r="M25" s="20">
        <v>90</v>
      </c>
      <c r="N25" s="20">
        <v>105</v>
      </c>
      <c r="O25" s="20">
        <v>125</v>
      </c>
      <c r="P25" s="21">
        <v>200</v>
      </c>
    </row>
    <row r="26" spans="1:16" ht="12">
      <c r="A26" s="1">
        <v>26.7</v>
      </c>
      <c r="B26" s="3">
        <f t="shared" si="0"/>
        <v>52693.9017169923</v>
      </c>
      <c r="C26" s="1"/>
      <c r="D26" s="3">
        <f t="shared" si="1"/>
        <v>52693.9017169923</v>
      </c>
      <c r="E26" s="3">
        <v>24</v>
      </c>
      <c r="F26" s="1">
        <v>3</v>
      </c>
      <c r="H26" s="12">
        <v>18</v>
      </c>
      <c r="I26" s="17">
        <v>1</v>
      </c>
      <c r="J26" s="12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8">
        <v>0</v>
      </c>
    </row>
    <row r="27" spans="1:16" ht="12">
      <c r="A27" s="1">
        <v>33.6</v>
      </c>
      <c r="B27" s="3">
        <f t="shared" si="0"/>
        <v>66311.42687981053</v>
      </c>
      <c r="C27" s="1">
        <v>66360</v>
      </c>
      <c r="D27" s="3">
        <f t="shared" si="1"/>
        <v>66360</v>
      </c>
      <c r="E27" s="3">
        <v>25</v>
      </c>
      <c r="F27" s="1">
        <v>2</v>
      </c>
      <c r="H27" s="12">
        <v>18</v>
      </c>
      <c r="I27" s="17">
        <v>9</v>
      </c>
      <c r="J27" s="12">
        <v>5.8</v>
      </c>
      <c r="K27" s="17">
        <v>7.5</v>
      </c>
      <c r="L27" s="17">
        <v>11.7</v>
      </c>
      <c r="M27" s="17">
        <v>16.4</v>
      </c>
      <c r="N27" s="17">
        <v>17</v>
      </c>
      <c r="O27" s="17">
        <v>22.3</v>
      </c>
      <c r="P27" s="18">
        <v>25</v>
      </c>
    </row>
    <row r="28" spans="1:16" ht="12">
      <c r="A28" s="1">
        <v>42.4</v>
      </c>
      <c r="B28" s="3">
        <f t="shared" si="0"/>
        <v>83678.70534833234</v>
      </c>
      <c r="C28" s="1">
        <v>83690</v>
      </c>
      <c r="D28" s="3">
        <f t="shared" si="1"/>
        <v>83690</v>
      </c>
      <c r="E28" s="3">
        <v>26</v>
      </c>
      <c r="F28" s="1">
        <v>1</v>
      </c>
      <c r="H28" s="12">
        <v>16</v>
      </c>
      <c r="I28" s="17">
        <v>11</v>
      </c>
      <c r="J28" s="12">
        <v>8.7</v>
      </c>
      <c r="K28" s="17">
        <v>11.3</v>
      </c>
      <c r="L28" s="17">
        <v>15.6</v>
      </c>
      <c r="M28" s="17">
        <v>20.5</v>
      </c>
      <c r="N28" s="17">
        <v>21.3</v>
      </c>
      <c r="O28" s="17">
        <v>25.7</v>
      </c>
      <c r="P28" s="18">
        <v>35</v>
      </c>
    </row>
    <row r="29" spans="1:16" ht="12">
      <c r="A29" s="1">
        <v>53.4</v>
      </c>
      <c r="B29" s="3">
        <f t="shared" si="0"/>
        <v>105387.8034339846</v>
      </c>
      <c r="C29" s="1">
        <v>105600</v>
      </c>
      <c r="D29" s="3">
        <f t="shared" si="1"/>
        <v>105600</v>
      </c>
      <c r="E29" s="3">
        <v>27</v>
      </c>
      <c r="F29" s="2" t="s">
        <v>18</v>
      </c>
      <c r="H29" s="12">
        <v>14</v>
      </c>
      <c r="I29" s="17">
        <v>13</v>
      </c>
      <c r="J29" s="12">
        <v>11.6</v>
      </c>
      <c r="K29" s="17">
        <v>15</v>
      </c>
      <c r="L29" s="17">
        <v>19.5</v>
      </c>
      <c r="M29" s="17">
        <v>24.6</v>
      </c>
      <c r="N29" s="17">
        <v>29.8</v>
      </c>
      <c r="O29" s="17">
        <v>35.6</v>
      </c>
      <c r="P29" s="18">
        <v>45</v>
      </c>
    </row>
    <row r="30" spans="1:16" ht="12">
      <c r="A30" s="1">
        <v>67.5</v>
      </c>
      <c r="B30" s="3">
        <f t="shared" si="0"/>
        <v>133214.92007104796</v>
      </c>
      <c r="C30" s="1">
        <v>133100</v>
      </c>
      <c r="D30" s="3">
        <f t="shared" si="1"/>
        <v>133100</v>
      </c>
      <c r="E30" s="3">
        <v>28</v>
      </c>
      <c r="F30" s="2" t="s">
        <v>19</v>
      </c>
      <c r="H30" s="12">
        <v>12</v>
      </c>
      <c r="I30" s="17">
        <v>15</v>
      </c>
      <c r="J30" s="12">
        <v>14.5</v>
      </c>
      <c r="K30" s="17">
        <v>18.8</v>
      </c>
      <c r="L30" s="17">
        <v>27.3</v>
      </c>
      <c r="M30" s="17">
        <v>32.8</v>
      </c>
      <c r="N30" s="17">
        <v>38.3</v>
      </c>
      <c r="O30" s="17">
        <v>44.5</v>
      </c>
      <c r="P30" s="18">
        <v>55</v>
      </c>
    </row>
    <row r="31" spans="1:16" ht="12">
      <c r="A31" s="1">
        <v>85</v>
      </c>
      <c r="B31" s="3">
        <f t="shared" si="0"/>
        <v>167752.12157094927</v>
      </c>
      <c r="C31" s="1">
        <v>167800</v>
      </c>
      <c r="D31" s="3">
        <f t="shared" si="1"/>
        <v>167800</v>
      </c>
      <c r="E31" s="3">
        <v>29</v>
      </c>
      <c r="F31" s="2" t="s">
        <v>20</v>
      </c>
      <c r="H31" s="12">
        <v>10</v>
      </c>
      <c r="I31" s="17">
        <v>17</v>
      </c>
      <c r="J31" s="12">
        <v>23.2</v>
      </c>
      <c r="K31" s="17">
        <v>30</v>
      </c>
      <c r="L31" s="17">
        <v>39</v>
      </c>
      <c r="M31" s="17">
        <v>45.1</v>
      </c>
      <c r="N31" s="17">
        <v>51</v>
      </c>
      <c r="O31" s="17">
        <v>62.3</v>
      </c>
      <c r="P31" s="18">
        <v>70</v>
      </c>
    </row>
    <row r="32" spans="1:16" ht="12">
      <c r="A32" s="1">
        <v>107.2</v>
      </c>
      <c r="B32" s="3">
        <f t="shared" si="0"/>
        <v>211565.0286165384</v>
      </c>
      <c r="C32" s="1">
        <v>211600</v>
      </c>
      <c r="D32" s="3">
        <f t="shared" si="1"/>
        <v>211600</v>
      </c>
      <c r="E32" s="3">
        <v>30</v>
      </c>
      <c r="F32" s="2" t="s">
        <v>21</v>
      </c>
      <c r="H32" s="12">
        <v>8</v>
      </c>
      <c r="I32" s="17">
        <v>19</v>
      </c>
      <c r="J32" s="12">
        <v>31.9</v>
      </c>
      <c r="K32" s="17">
        <v>48.8</v>
      </c>
      <c r="L32" s="17">
        <v>54.6</v>
      </c>
      <c r="M32" s="17">
        <v>57.4</v>
      </c>
      <c r="N32" s="17">
        <v>68</v>
      </c>
      <c r="O32" s="17">
        <v>80.1</v>
      </c>
      <c r="P32" s="18">
        <v>100</v>
      </c>
    </row>
    <row r="33" spans="1:16" ht="12">
      <c r="A33" s="1">
        <v>135.1</v>
      </c>
      <c r="B33" s="3">
        <f t="shared" si="0"/>
        <v>266627.1955792382</v>
      </c>
      <c r="C33" s="1"/>
      <c r="D33" s="3">
        <f t="shared" si="1"/>
        <v>266627.1955792382</v>
      </c>
      <c r="E33" s="3">
        <v>31</v>
      </c>
      <c r="F33" s="2" t="s">
        <v>22</v>
      </c>
      <c r="H33" s="12">
        <v>6</v>
      </c>
      <c r="I33" s="17">
        <v>21</v>
      </c>
      <c r="J33" s="12">
        <v>46.4</v>
      </c>
      <c r="K33" s="17">
        <v>71.3</v>
      </c>
      <c r="L33" s="17">
        <v>78</v>
      </c>
      <c r="M33" s="17">
        <v>82</v>
      </c>
      <c r="N33" s="17">
        <v>102</v>
      </c>
      <c r="O33" s="17">
        <v>111</v>
      </c>
      <c r="P33" s="18">
        <v>135</v>
      </c>
    </row>
    <row r="34" spans="1:16" ht="12">
      <c r="A34" s="1">
        <v>170.3</v>
      </c>
      <c r="B34" s="3">
        <f t="shared" si="0"/>
        <v>336096.30945332546</v>
      </c>
      <c r="C34" s="1"/>
      <c r="D34" s="3">
        <f t="shared" si="1"/>
        <v>336096.30945332546</v>
      </c>
      <c r="E34" s="3">
        <v>32</v>
      </c>
      <c r="F34" s="2" t="s">
        <v>23</v>
      </c>
      <c r="H34" s="12">
        <v>4</v>
      </c>
      <c r="I34" s="17">
        <v>23</v>
      </c>
      <c r="J34" s="12">
        <v>60.9</v>
      </c>
      <c r="K34" s="17">
        <v>93.8</v>
      </c>
      <c r="L34" s="17">
        <v>101</v>
      </c>
      <c r="M34" s="17">
        <v>110</v>
      </c>
      <c r="N34" s="17">
        <v>136</v>
      </c>
      <c r="O34" s="17">
        <v>151</v>
      </c>
      <c r="P34" s="18">
        <v>180</v>
      </c>
    </row>
    <row r="35" spans="1:16" ht="12">
      <c r="A35" s="1"/>
      <c r="B35" s="3"/>
      <c r="C35" s="1"/>
      <c r="D35" s="3">
        <v>999999999</v>
      </c>
      <c r="E35" s="3">
        <v>33</v>
      </c>
      <c r="F35" s="1" t="s">
        <v>28</v>
      </c>
      <c r="H35" s="12">
        <v>2</v>
      </c>
      <c r="I35" s="17">
        <v>25</v>
      </c>
      <c r="J35" s="12">
        <v>81.2</v>
      </c>
      <c r="K35" s="17">
        <v>127</v>
      </c>
      <c r="L35" s="17">
        <v>138</v>
      </c>
      <c r="M35" s="17">
        <v>147</v>
      </c>
      <c r="N35" s="17">
        <v>178</v>
      </c>
      <c r="O35" s="17">
        <v>200</v>
      </c>
      <c r="P35" s="18">
        <v>240</v>
      </c>
    </row>
    <row r="36" spans="8:16" ht="12">
      <c r="H36" s="12">
        <v>1</v>
      </c>
      <c r="I36" s="17">
        <v>26</v>
      </c>
      <c r="J36" s="12">
        <v>95.7</v>
      </c>
      <c r="K36" s="17">
        <v>146</v>
      </c>
      <c r="L36" s="17">
        <v>163</v>
      </c>
      <c r="M36" s="17">
        <v>172</v>
      </c>
      <c r="N36" s="17">
        <v>208</v>
      </c>
      <c r="O36" s="17">
        <v>235</v>
      </c>
      <c r="P36" s="18">
        <v>280</v>
      </c>
    </row>
    <row r="37" spans="8:16" ht="12">
      <c r="H37" s="13" t="s">
        <v>18</v>
      </c>
      <c r="I37" s="17">
        <v>27</v>
      </c>
      <c r="J37" s="12">
        <v>113</v>
      </c>
      <c r="K37" s="17">
        <v>172</v>
      </c>
      <c r="L37" s="17">
        <v>191</v>
      </c>
      <c r="M37" s="17">
        <v>200</v>
      </c>
      <c r="N37" s="17">
        <v>242</v>
      </c>
      <c r="O37" s="17">
        <v>271</v>
      </c>
      <c r="P37" s="18">
        <v>325</v>
      </c>
    </row>
    <row r="38" spans="3:16" ht="12">
      <c r="C38" s="25" t="s">
        <v>13</v>
      </c>
      <c r="D38" s="6">
        <f>10.75*Current*Length/VDrop</f>
        <v>17916.666666666668</v>
      </c>
      <c r="E38" s="5" t="s">
        <v>29</v>
      </c>
      <c r="H38" s="13" t="s">
        <v>19</v>
      </c>
      <c r="I38" s="17">
        <v>28</v>
      </c>
      <c r="J38" s="12">
        <v>130</v>
      </c>
      <c r="K38" s="17">
        <v>198</v>
      </c>
      <c r="L38" s="17">
        <v>222</v>
      </c>
      <c r="M38" s="17">
        <v>233</v>
      </c>
      <c r="N38" s="17">
        <v>280</v>
      </c>
      <c r="O38" s="17">
        <v>316</v>
      </c>
      <c r="P38" s="18">
        <v>370</v>
      </c>
    </row>
    <row r="39" spans="3:16" ht="12">
      <c r="C39" s="25" t="s">
        <v>16</v>
      </c>
      <c r="D39" s="6">
        <f>INDEX(Lookup,MATCH(CM,CMUsed,1)+2,1)</f>
        <v>20919.676337083085</v>
      </c>
      <c r="E39" s="5" t="s">
        <v>29</v>
      </c>
      <c r="H39" s="13" t="s">
        <v>20</v>
      </c>
      <c r="I39" s="17">
        <v>29</v>
      </c>
      <c r="J39" s="12">
        <v>150</v>
      </c>
      <c r="K39" s="17">
        <v>232</v>
      </c>
      <c r="L39" s="17">
        <v>257</v>
      </c>
      <c r="M39" s="17">
        <v>270</v>
      </c>
      <c r="N39" s="17">
        <v>327</v>
      </c>
      <c r="O39" s="17">
        <v>384</v>
      </c>
      <c r="P39" s="18">
        <v>430</v>
      </c>
    </row>
    <row r="40" spans="3:16" ht="12">
      <c r="C40" s="25" t="s">
        <v>36</v>
      </c>
      <c r="D40" s="4">
        <f>VLOOKUP(InitialLookupCM,Lookup,2)</f>
        <v>20</v>
      </c>
      <c r="E40" s="5"/>
      <c r="H40" s="13" t="s">
        <v>21</v>
      </c>
      <c r="I40" s="17">
        <v>30</v>
      </c>
      <c r="J40" s="12">
        <v>174</v>
      </c>
      <c r="K40" s="17">
        <v>270</v>
      </c>
      <c r="L40" s="17">
        <v>300</v>
      </c>
      <c r="M40" s="17">
        <v>315</v>
      </c>
      <c r="N40" s="17">
        <v>378</v>
      </c>
      <c r="O40" s="17">
        <v>422</v>
      </c>
      <c r="P40" s="18">
        <v>510</v>
      </c>
    </row>
    <row r="41" spans="3:16" ht="12.75" thickBot="1">
      <c r="C41" s="25" t="s">
        <v>37</v>
      </c>
      <c r="D41" s="4">
        <f>IF(EngineSpace="N",OutWireResult,InWireResult)</f>
        <v>11</v>
      </c>
      <c r="E41" s="5"/>
      <c r="H41" s="19" t="s">
        <v>48</v>
      </c>
      <c r="I41" s="20">
        <v>33</v>
      </c>
      <c r="J41" s="19">
        <v>999999</v>
      </c>
      <c r="K41" s="20">
        <v>999999</v>
      </c>
      <c r="L41" s="20">
        <v>999999</v>
      </c>
      <c r="M41" s="20">
        <v>999999</v>
      </c>
      <c r="N41" s="20">
        <v>999999</v>
      </c>
      <c r="O41" s="20">
        <v>999999</v>
      </c>
      <c r="P41" s="21">
        <v>999999</v>
      </c>
    </row>
    <row r="42" spans="3:4" ht="12">
      <c r="C42" s="25" t="s">
        <v>38</v>
      </c>
      <c r="D42" s="4">
        <f>MAX(D40:D41)</f>
        <v>20</v>
      </c>
    </row>
    <row r="43" ht="12">
      <c r="O43" t="s">
        <v>61</v>
      </c>
    </row>
  </sheetData>
  <mergeCells count="3">
    <mergeCell ref="A1:D1"/>
    <mergeCell ref="J3:P3"/>
    <mergeCell ref="J24:P24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1"/>
  <sheetViews>
    <sheetView tabSelected="1" workbookViewId="0" topLeftCell="A1">
      <selection activeCell="B6" sqref="B6"/>
    </sheetView>
  </sheetViews>
  <sheetFormatPr defaultColWidth="11.421875" defaultRowHeight="12.75"/>
  <cols>
    <col min="1" max="1" width="26.28125" style="0" customWidth="1"/>
    <col min="2" max="2" width="13.140625" style="0" customWidth="1"/>
    <col min="3" max="16384" width="8.8515625" style="0" customWidth="1"/>
  </cols>
  <sheetData>
    <row r="2" spans="1:5" ht="12">
      <c r="A2" s="5" t="s">
        <v>7</v>
      </c>
      <c r="B2" s="23">
        <v>12</v>
      </c>
      <c r="C2" s="5" t="s">
        <v>9</v>
      </c>
      <c r="E2" t="s">
        <v>31</v>
      </c>
    </row>
    <row r="3" spans="1:5" ht="12">
      <c r="A3" s="5" t="s">
        <v>8</v>
      </c>
      <c r="B3" s="24">
        <v>0.03</v>
      </c>
      <c r="C3" s="5" t="s">
        <v>10</v>
      </c>
      <c r="E3" t="s">
        <v>39</v>
      </c>
    </row>
    <row r="4" spans="1:3" ht="12">
      <c r="A4" s="5" t="s">
        <v>12</v>
      </c>
      <c r="B4" s="23">
        <v>30</v>
      </c>
      <c r="C4" s="5" t="s">
        <v>11</v>
      </c>
    </row>
    <row r="5" spans="1:5" ht="12">
      <c r="A5" s="5" t="s">
        <v>40</v>
      </c>
      <c r="B5" s="23">
        <v>20</v>
      </c>
      <c r="C5" s="5" t="s">
        <v>14</v>
      </c>
      <c r="E5" t="s">
        <v>51</v>
      </c>
    </row>
    <row r="6" spans="1:5" ht="12">
      <c r="A6" s="5" t="s">
        <v>43</v>
      </c>
      <c r="B6" s="23" t="s">
        <v>64</v>
      </c>
      <c r="C6" s="5" t="s">
        <v>44</v>
      </c>
      <c r="E6" t="s">
        <v>32</v>
      </c>
    </row>
    <row r="7" spans="1:5" ht="12">
      <c r="A7" s="5" t="s">
        <v>2</v>
      </c>
      <c r="B7" s="23">
        <v>105</v>
      </c>
      <c r="C7" s="5" t="s">
        <v>45</v>
      </c>
      <c r="E7" t="s">
        <v>33</v>
      </c>
    </row>
    <row r="8" spans="2:5" ht="12">
      <c r="B8" s="1"/>
      <c r="C8" s="5"/>
      <c r="E8" t="s">
        <v>34</v>
      </c>
    </row>
    <row r="9" spans="1:3" ht="12">
      <c r="A9" s="5" t="s">
        <v>8</v>
      </c>
      <c r="B9" s="4">
        <f>VDropPercent*Volts</f>
        <v>0.36</v>
      </c>
      <c r="C9" s="5" t="s">
        <v>9</v>
      </c>
    </row>
    <row r="10" spans="1:5" ht="12">
      <c r="A10" s="5" t="s">
        <v>17</v>
      </c>
      <c r="B10" s="4">
        <f>INDEX(Lookup,Index+1,3)</f>
        <v>7</v>
      </c>
      <c r="C10" s="5" t="s">
        <v>30</v>
      </c>
      <c r="E10" t="s">
        <v>49</v>
      </c>
    </row>
    <row r="11" spans="1:5" ht="12">
      <c r="A11" t="s">
        <v>65</v>
      </c>
      <c r="B11" s="4">
        <f>IF(EngineSpace="N",OutFuse,InFuse)</f>
        <v>68</v>
      </c>
      <c r="C11" t="s">
        <v>57</v>
      </c>
      <c r="E11" t="s">
        <v>50</v>
      </c>
    </row>
    <row r="12" spans="1:5" ht="12">
      <c r="A12" t="s">
        <v>58</v>
      </c>
      <c r="B12" s="4">
        <f>IF(EngineSpace="N",OutFuse,InFuse)*1.5</f>
        <v>102</v>
      </c>
      <c r="C12" t="s">
        <v>57</v>
      </c>
      <c r="E12" t="s">
        <v>0</v>
      </c>
    </row>
    <row r="13" ht="12">
      <c r="E13" t="s">
        <v>1</v>
      </c>
    </row>
    <row r="15" ht="12">
      <c r="E15" t="s">
        <v>59</v>
      </c>
    </row>
    <row r="16" ht="12">
      <c r="E16" t="s">
        <v>60</v>
      </c>
    </row>
    <row r="18" ht="12">
      <c r="A18" t="s">
        <v>66</v>
      </c>
    </row>
    <row r="19" ht="12">
      <c r="A19" t="s">
        <v>62</v>
      </c>
    </row>
    <row r="20" ht="12">
      <c r="A20" t="s">
        <v>67</v>
      </c>
    </row>
    <row r="23" spans="2:3" ht="12" hidden="1">
      <c r="B23">
        <f>Data!J5+Data!J4</f>
        <v>60</v>
      </c>
      <c r="C23">
        <f>Data!P4</f>
        <v>200</v>
      </c>
    </row>
    <row r="24" spans="2:3" ht="12" hidden="1">
      <c r="B24" t="s">
        <v>3</v>
      </c>
      <c r="C24" t="s">
        <v>4</v>
      </c>
    </row>
    <row r="25" spans="2:3" ht="12.75" hidden="1" thickBot="1">
      <c r="B25" s="20">
        <v>60</v>
      </c>
      <c r="C25" t="s">
        <v>64</v>
      </c>
    </row>
    <row r="26" spans="2:3" ht="12.75" hidden="1" thickBot="1">
      <c r="B26" s="20">
        <v>75</v>
      </c>
      <c r="C26" t="s">
        <v>5</v>
      </c>
    </row>
    <row r="27" ht="12.75" hidden="1" thickBot="1">
      <c r="B27" s="20">
        <v>80</v>
      </c>
    </row>
    <row r="28" ht="12.75" hidden="1" thickBot="1">
      <c r="B28" s="20">
        <v>90</v>
      </c>
    </row>
    <row r="29" ht="12.75" hidden="1" thickBot="1">
      <c r="B29" s="20">
        <v>105</v>
      </c>
    </row>
    <row r="30" ht="12.75" hidden="1" thickBot="1">
      <c r="B30" s="20">
        <v>125</v>
      </c>
    </row>
    <row r="31" ht="12.75" hidden="1" thickBot="1">
      <c r="B31" s="21">
        <v>200</v>
      </c>
    </row>
  </sheetData>
  <dataValidations count="2">
    <dataValidation type="list" allowBlank="1" showInputMessage="1" showErrorMessage="1" promptTitle="Please" prompt="Select Wire Temperature Rating from the drop down list (to right)" errorTitle="Allowable Values Include" error="60,75,80,90,105,125, and 200 deg C rated wire." sqref="B7">
      <formula1>$B$25:$B$31</formula1>
    </dataValidation>
    <dataValidation type="list" allowBlank="1" showInputMessage="1" showErrorMessage="1" promptTitle="Does" prompt="The conductor run through an engine space? Please Select from the Drop-Down menu to the right." errorTitle="Please Select" error="Y for Yes or&#10;N for No" sqref="B6">
      <formula1>$C$25:$C$26</formula1>
    </dataValidation>
  </dataValidation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D. Little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 von Wentzel</dc:creator>
  <cp:keywords/>
  <dc:description/>
  <cp:lastModifiedBy>Constantin von Wentzel</cp:lastModifiedBy>
  <dcterms:created xsi:type="dcterms:W3CDTF">2000-08-16T10:47:19Z</dcterms:created>
  <cp:category/>
  <cp:version/>
  <cp:contentType/>
  <cp:contentStatus/>
</cp:coreProperties>
</file>